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F122CFE-9355-4DFD-ADE6-FCBD458AFDFB}" xr6:coauthVersionLast="47" xr6:coauthVersionMax="47" xr10:uidLastSave="{00000000-0000-0000-0000-000000000000}"/>
  <bookViews>
    <workbookView xWindow="-108" yWindow="-108" windowWidth="23256" windowHeight="12456" xr2:uid="{889CEB54-BAA5-404E-BF06-91873D1C93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59" i="1"/>
  <c r="J58" i="1"/>
  <c r="J57" i="1"/>
  <c r="J51" i="1" s="1"/>
  <c r="J56" i="1"/>
  <c r="J55" i="1"/>
  <c r="J53" i="1"/>
  <c r="K51" i="1"/>
  <c r="J48" i="1"/>
  <c r="J47" i="1"/>
  <c r="J46" i="1"/>
  <c r="J45" i="1"/>
  <c r="I45" i="1"/>
  <c r="H45" i="1"/>
  <c r="J44" i="1"/>
  <c r="J38" i="1"/>
  <c r="J36" i="1" s="1"/>
  <c r="J34" i="1"/>
  <c r="J32" i="1"/>
  <c r="H28" i="1"/>
  <c r="G28" i="1"/>
  <c r="J28" i="1" s="1"/>
  <c r="H27" i="1"/>
  <c r="J27" i="1" s="1"/>
  <c r="H26" i="1"/>
  <c r="G26" i="1"/>
  <c r="J26" i="1" s="1"/>
  <c r="H25" i="1"/>
  <c r="G25" i="1"/>
  <c r="J25" i="1" s="1"/>
  <c r="H24" i="1"/>
  <c r="G24" i="1"/>
  <c r="J24" i="1" s="1"/>
  <c r="C24" i="1"/>
  <c r="H17" i="1"/>
  <c r="I16" i="1"/>
  <c r="H16" i="1"/>
  <c r="J16" i="1" s="1"/>
  <c r="I15" i="1"/>
  <c r="H15" i="1"/>
  <c r="I14" i="1"/>
  <c r="H14" i="1"/>
  <c r="J14" i="1" s="1"/>
  <c r="I13" i="1"/>
  <c r="H13" i="1"/>
  <c r="J13" i="1" s="1"/>
  <c r="I12" i="1"/>
  <c r="J12" i="1" s="1"/>
  <c r="H12" i="1"/>
  <c r="I11" i="1"/>
  <c r="H11" i="1"/>
  <c r="I10" i="1"/>
  <c r="H10" i="1"/>
  <c r="I9" i="1"/>
  <c r="H9" i="1"/>
  <c r="J9" i="1" s="1"/>
  <c r="J8" i="1"/>
  <c r="I8" i="1"/>
  <c r="H8" i="1"/>
  <c r="J11" i="1" l="1"/>
  <c r="J42" i="1"/>
  <c r="J22" i="1"/>
  <c r="J4" i="1" s="1"/>
  <c r="I17" i="1"/>
  <c r="J10" i="1"/>
  <c r="J15" i="1"/>
  <c r="J30" i="1"/>
</calcChain>
</file>

<file path=xl/sharedStrings.xml><?xml version="1.0" encoding="utf-8"?>
<sst xmlns="http://schemas.openxmlformats.org/spreadsheetml/2006/main" count="189" uniqueCount="102">
  <si>
    <t>Dept. of Community &amp; Cultural Affairs</t>
  </si>
  <si>
    <t>Division of Youth Services</t>
  </si>
  <si>
    <t>As of 3/21/2023</t>
  </si>
  <si>
    <t xml:space="preserve">            FY2023 FUNDING SOURCE</t>
  </si>
  <si>
    <t>FY2023 DYS NEW GRANT AWARD</t>
  </si>
  <si>
    <t>Grant</t>
  </si>
  <si>
    <t>Account#</t>
  </si>
  <si>
    <t>CFDA#</t>
  </si>
  <si>
    <t>Expiration</t>
  </si>
  <si>
    <t>Award No#</t>
  </si>
  <si>
    <t xml:space="preserve">FTE # </t>
  </si>
  <si>
    <t>Personnel</t>
  </si>
  <si>
    <t>All Others</t>
  </si>
  <si>
    <t>IDC 4.37%</t>
  </si>
  <si>
    <t>Award this Action</t>
  </si>
  <si>
    <t>Promoting Safe and Stable-Families-Supplement-Case Worker-FPCV</t>
  </si>
  <si>
    <t>FG12080010</t>
  </si>
  <si>
    <t>10/01/2021-09/30/2023</t>
  </si>
  <si>
    <t>2201MPSOSC</t>
  </si>
  <si>
    <t xml:space="preserve">Promoting Safe and Stable-Families </t>
  </si>
  <si>
    <t xml:space="preserve">Community Services Block Grant </t>
  </si>
  <si>
    <t>10/01/2021 - 9/30/2023</t>
  </si>
  <si>
    <t>Child Welfare Social Services Program</t>
  </si>
  <si>
    <t>10/01/21-9/30/2023</t>
  </si>
  <si>
    <t>Social Service Block Grant</t>
  </si>
  <si>
    <t>10/01/2021-9/30/2023</t>
  </si>
  <si>
    <t>Family Violence Prevention and Services/Domestic Violence Shelter and Supportive Services ACT</t>
  </si>
  <si>
    <t>Community Based Child Abuse Prevention Grants</t>
  </si>
  <si>
    <t>Children's Justice Act Program-Supplement (CJA1)</t>
  </si>
  <si>
    <t>Child Abuse and Neglect State Grant (NCAN)-Supplement</t>
  </si>
  <si>
    <t>DYS FY2023 CARRYOVER FUNDING</t>
  </si>
  <si>
    <t>FTE #</t>
  </si>
  <si>
    <t>Carryover Funding</t>
  </si>
  <si>
    <t>FG12080001</t>
  </si>
  <si>
    <t>2101MPSOSR</t>
  </si>
  <si>
    <t>Children's Justice Act</t>
  </si>
  <si>
    <t>FG12080002</t>
  </si>
  <si>
    <t>Child Abuse Prevention &amp; Treatment Act</t>
  </si>
  <si>
    <t>H0669B/ 1201210049</t>
  </si>
  <si>
    <t>2001MPSOSR</t>
  </si>
  <si>
    <t>Children's Justice GRT</t>
  </si>
  <si>
    <t>H0643B/  1201210046</t>
  </si>
  <si>
    <t>Promoting Safe and Stable Families-FFTA</t>
  </si>
  <si>
    <t>HO556A/ 1201210032</t>
  </si>
  <si>
    <t>FY2023 DYS REVOLVING FUNDING</t>
  </si>
  <si>
    <t>FTE#</t>
  </si>
  <si>
    <t>Total Funding</t>
  </si>
  <si>
    <t>Leadership in Disabilities and Achievement of Hawaii</t>
  </si>
  <si>
    <t>3016-A/ OP12080001</t>
  </si>
  <si>
    <t>*</t>
  </si>
  <si>
    <t>Revolving</t>
  </si>
  <si>
    <t>Special Account-Child Abuse and Neglect</t>
  </si>
  <si>
    <t>Special Account-Kagman Community Center Donations</t>
  </si>
  <si>
    <t>3010-A</t>
  </si>
  <si>
    <t>LOCAL FUNDING ACCOUNT</t>
  </si>
  <si>
    <t>Local Funding Account</t>
  </si>
  <si>
    <t>1220/11120800</t>
  </si>
  <si>
    <t>As of 9/30/22 Report</t>
  </si>
  <si>
    <t>AMERICAN RESCUE PLAN ACT (ARPA)</t>
  </si>
  <si>
    <t>ARPA:Grant Project:                 Youth Services Saipan</t>
  </si>
  <si>
    <t>MI210047/ 1208210001</t>
  </si>
  <si>
    <t>4/1/2020-12/31/2026</t>
  </si>
  <si>
    <t>ARPA: Child Abuse and Neglect State Grants</t>
  </si>
  <si>
    <t>2101MPNCC6</t>
  </si>
  <si>
    <t>ARPA:Family Violence Prevention &amp;Services/Sexual Asslt/Rape Crisis Services &amp; Support-Supplemental</t>
  </si>
  <si>
    <t>Account not established yet</t>
  </si>
  <si>
    <t>10/1/2020-9/30/2025</t>
  </si>
  <si>
    <t>2201MPFSC6</t>
  </si>
  <si>
    <t>ARPA: Family Violence Prevention and Services/Domestic Violence Shelter and Supportive Services-New</t>
  </si>
  <si>
    <t>10/01/2020-9/30/2025</t>
  </si>
  <si>
    <t>2101MPFVC6</t>
  </si>
  <si>
    <t>2201MPFTC6</t>
  </si>
  <si>
    <t>As of 3/7/2023</t>
  </si>
  <si>
    <t>Balance as of 3/7/23</t>
  </si>
  <si>
    <t>CJPA-VOCA-CPS</t>
  </si>
  <si>
    <t>FG26040076</t>
  </si>
  <si>
    <t>8/01/22-9/30/2023</t>
  </si>
  <si>
    <t>15POVC-21-GG-00580-ASSI</t>
  </si>
  <si>
    <t>J9575K/ 2604210082</t>
  </si>
  <si>
    <t>10/1/2019-9/30/2023</t>
  </si>
  <si>
    <t>2019-V2-GX-0068</t>
  </si>
  <si>
    <t>J0575Q/ FG260040021</t>
  </si>
  <si>
    <t>6/2022-9/2023</t>
  </si>
  <si>
    <t>2020-V2-GX-0067</t>
  </si>
  <si>
    <t>CJPA-JAG-JPU-NEW</t>
  </si>
  <si>
    <t>FG26040082</t>
  </si>
  <si>
    <t>10/1/2022-10/1/2024</t>
  </si>
  <si>
    <t>15PBJA-21-GG-00250-MUMU</t>
  </si>
  <si>
    <t>CJPS-JAG-JPU-2021</t>
  </si>
  <si>
    <t>J0738V/  FG26040038</t>
  </si>
  <si>
    <t>10/1/2021-10/01/2023</t>
  </si>
  <si>
    <t>2020-MU-BX-0043</t>
  </si>
  <si>
    <t>CJPA-JAG-JPU-NEW-2019</t>
  </si>
  <si>
    <t>J9738Q/ FG26040055</t>
  </si>
  <si>
    <t>10/1/2022-9/30/2023</t>
  </si>
  <si>
    <t>2019-MU-BX-0022</t>
  </si>
  <si>
    <t>CJPS-JAG-FYEP-NEW-2021</t>
  </si>
  <si>
    <t>FG26040090</t>
  </si>
  <si>
    <t>10/1/2021-9/30/2024</t>
  </si>
  <si>
    <t>CJPA-JAG-F&amp;YEP</t>
  </si>
  <si>
    <t>J9738R/ FG26040056</t>
  </si>
  <si>
    <t>9/1/2021-9/1/2023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</si>
</sst>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0.000"/>
    <numFmt numFmtId="167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44" fontId="4" fillId="3" borderId="2" xfId="0" applyNumberFormat="1" applyFont="1" applyFill="1" applyBorder="1"/>
    <xf numFmtId="0" fontId="5" fillId="0" borderId="3" xfId="0" applyFont="1" applyBorder="1"/>
    <xf numFmtId="0" fontId="4" fillId="0" borderId="0" xfId="0" applyFont="1" applyAlignment="1">
      <alignment horizontal="center" wrapText="1"/>
    </xf>
    <xf numFmtId="44" fontId="4" fillId="0" borderId="0" xfId="0" applyNumberFormat="1" applyFont="1"/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44" fontId="4" fillId="3" borderId="2" xfId="1" applyFont="1" applyFill="1" applyBorder="1"/>
    <xf numFmtId="0" fontId="4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44" fontId="5" fillId="0" borderId="2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14" fontId="5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4" fontId="7" fillId="2" borderId="2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44" fontId="5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44" fontId="5" fillId="2" borderId="2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44" fontId="5" fillId="0" borderId="7" xfId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44" fontId="5" fillId="5" borderId="2" xfId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0" fontId="4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center" vertical="center"/>
    </xf>
    <xf numFmtId="0" fontId="4" fillId="4" borderId="4" xfId="0" applyFont="1" applyFill="1" applyBorder="1"/>
    <xf numFmtId="0" fontId="4" fillId="4" borderId="5" xfId="0" applyFont="1" applyFill="1" applyBorder="1"/>
    <xf numFmtId="10" fontId="4" fillId="4" borderId="6" xfId="0" applyNumberFormat="1" applyFont="1" applyFill="1" applyBorder="1" applyAlignment="1">
      <alignment horizontal="center"/>
    </xf>
    <xf numFmtId="44" fontId="4" fillId="3" borderId="2" xfId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4" fontId="5" fillId="0" borderId="3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44" fontId="7" fillId="0" borderId="2" xfId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4" fontId="5" fillId="0" borderId="3" xfId="1" applyFont="1" applyFill="1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44" fontId="5" fillId="2" borderId="0" xfId="1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4" fontId="5" fillId="0" borderId="7" xfId="1" applyFont="1" applyBorder="1" applyAlignment="1">
      <alignment vertical="center"/>
    </xf>
    <xf numFmtId="165" fontId="5" fillId="0" borderId="7" xfId="1" applyNumberFormat="1" applyFont="1" applyBorder="1" applyAlignment="1">
      <alignment vertical="center"/>
    </xf>
    <xf numFmtId="44" fontId="5" fillId="0" borderId="2" xfId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5" fillId="0" borderId="8" xfId="0" applyFont="1" applyBorder="1"/>
    <xf numFmtId="44" fontId="4" fillId="3" borderId="2" xfId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4" fontId="5" fillId="0" borderId="2" xfId="1" applyFont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4" fontId="5" fillId="0" borderId="0" xfId="1" applyFont="1" applyBorder="1"/>
    <xf numFmtId="44" fontId="5" fillId="0" borderId="0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0" fontId="7" fillId="0" borderId="0" xfId="2" applyFont="1" applyAlignment="1">
      <alignment horizontal="center" vertical="center"/>
    </xf>
    <xf numFmtId="164" fontId="5" fillId="0" borderId="2" xfId="1" applyNumberFormat="1" applyFont="1" applyFill="1" applyBorder="1" applyAlignment="1">
      <alignment vertical="center"/>
    </xf>
    <xf numFmtId="166" fontId="5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/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10" fontId="4" fillId="4" borderId="6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4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/>
    </xf>
    <xf numFmtId="6" fontId="5" fillId="0" borderId="0" xfId="0" applyNumberFormat="1" applyFont="1" applyAlignment="1">
      <alignment vertical="center"/>
    </xf>
    <xf numFmtId="167" fontId="5" fillId="2" borderId="2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44" fontId="5" fillId="2" borderId="2" xfId="1" applyFont="1" applyFill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44" fontId="5" fillId="0" borderId="2" xfId="1" applyFont="1" applyFill="1" applyBorder="1" applyAlignment="1">
      <alignment horizontal="center" vertical="center"/>
    </xf>
    <xf numFmtId="44" fontId="5" fillId="0" borderId="2" xfId="1" applyFont="1" applyBorder="1" applyAlignment="1">
      <alignment horizontal="left" vertical="center"/>
    </xf>
    <xf numFmtId="0" fontId="9" fillId="0" borderId="0" xfId="0" applyFont="1"/>
    <xf numFmtId="0" fontId="5" fillId="0" borderId="2" xfId="0" applyFont="1" applyBorder="1" applyAlignment="1">
      <alignment horizontal="center" wrapText="1"/>
    </xf>
    <xf numFmtId="44" fontId="7" fillId="0" borderId="2" xfId="0" applyNumberFormat="1" applyFont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Normal 2" xfId="2" xr:uid="{6657EA78-426A-40BE-9C29-C6DD65DB5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081E-E62E-4C9B-BE42-6B7EFFA5C7AD}">
  <dimension ref="A1:L60"/>
  <sheetViews>
    <sheetView tabSelected="1" workbookViewId="0">
      <selection activeCell="A22" sqref="A22:L60"/>
    </sheetView>
  </sheetViews>
  <sheetFormatPr defaultRowHeight="14.4" x14ac:dyDescent="0.3"/>
  <cols>
    <col min="1" max="1" width="24.6640625" customWidth="1"/>
    <col min="2" max="2" width="15.44140625" customWidth="1"/>
    <col min="4" max="4" width="13.5546875" customWidth="1"/>
    <col min="5" max="5" width="29.44140625" customWidth="1"/>
    <col min="6" max="6" width="16.44140625" customWidth="1"/>
    <col min="7" max="7" width="17" customWidth="1"/>
    <col min="8" max="8" width="15.44140625" customWidth="1"/>
    <col min="9" max="9" width="14.109375" customWidth="1"/>
    <col min="10" max="10" width="18.44140625" customWidth="1"/>
    <col min="11" max="11" width="15.33203125" customWidth="1"/>
  </cols>
  <sheetData>
    <row r="1" spans="1:12" ht="18" x14ac:dyDescent="0.35">
      <c r="A1" s="1"/>
      <c r="B1" s="1"/>
      <c r="C1" s="2" t="s">
        <v>0</v>
      </c>
      <c r="D1" s="2"/>
      <c r="E1" s="2"/>
      <c r="F1" s="2"/>
      <c r="G1" s="2"/>
      <c r="H1" s="1"/>
      <c r="I1" s="1"/>
      <c r="J1" s="1"/>
      <c r="K1" s="1"/>
      <c r="L1" s="1"/>
    </row>
    <row r="2" spans="1:12" ht="18" x14ac:dyDescent="0.35">
      <c r="A2" s="1"/>
      <c r="B2" s="1"/>
      <c r="C2" s="3"/>
      <c r="D2" s="2" t="s">
        <v>1</v>
      </c>
      <c r="E2" s="2"/>
      <c r="F2" s="2"/>
      <c r="G2" s="3"/>
      <c r="H2" s="1"/>
      <c r="I2" s="1"/>
      <c r="J2" s="1"/>
      <c r="K2" s="1"/>
      <c r="L2" s="1"/>
    </row>
    <row r="3" spans="1:12" ht="18" x14ac:dyDescent="0.35">
      <c r="A3" s="1"/>
      <c r="B3" s="1"/>
      <c r="C3" s="3"/>
      <c r="D3" s="4"/>
      <c r="E3" s="4"/>
      <c r="F3" s="4"/>
      <c r="G3" s="3"/>
      <c r="H3" s="1"/>
      <c r="I3" s="1"/>
      <c r="J3" s="1"/>
      <c r="K3" s="1"/>
      <c r="L3" s="1"/>
    </row>
    <row r="4" spans="1:12" ht="17.399999999999999" x14ac:dyDescent="0.3">
      <c r="A4" s="5" t="s">
        <v>2</v>
      </c>
      <c r="B4" s="6"/>
      <c r="C4" s="7"/>
      <c r="D4" s="7" t="s">
        <v>3</v>
      </c>
      <c r="E4" s="7"/>
      <c r="F4" s="7"/>
      <c r="G4" s="7"/>
      <c r="H4" s="8"/>
      <c r="I4" s="9"/>
      <c r="J4" s="10">
        <f>SUM(J6+J22+J30+J36+J42+J51,K51)</f>
        <v>3382101.7083000001</v>
      </c>
      <c r="K4" s="11"/>
      <c r="L4" s="6"/>
    </row>
    <row r="5" spans="1:12" ht="15.6" x14ac:dyDescent="0.3">
      <c r="A5" s="6"/>
      <c r="B5" s="6"/>
      <c r="C5" s="6"/>
      <c r="D5" s="6"/>
      <c r="E5" s="6"/>
      <c r="F5" s="6"/>
      <c r="G5" s="6"/>
      <c r="H5" s="12"/>
      <c r="I5" s="12"/>
      <c r="J5" s="13"/>
      <c r="K5" s="6"/>
      <c r="L5" s="6"/>
    </row>
    <row r="6" spans="1:12" ht="15.6" x14ac:dyDescent="0.3">
      <c r="A6" s="14" t="s">
        <v>4</v>
      </c>
      <c r="B6" s="15"/>
      <c r="C6" s="15"/>
      <c r="D6" s="15"/>
      <c r="E6" s="15"/>
      <c r="F6" s="15"/>
      <c r="G6" s="15"/>
      <c r="H6" s="15"/>
      <c r="I6" s="16"/>
      <c r="J6" s="17">
        <v>1503040</v>
      </c>
      <c r="K6" s="6"/>
      <c r="L6" s="6"/>
    </row>
    <row r="7" spans="1:12" ht="15.6" x14ac:dyDescent="0.3">
      <c r="A7" s="18" t="s">
        <v>5</v>
      </c>
      <c r="B7" s="18" t="s">
        <v>6</v>
      </c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8" t="s">
        <v>12</v>
      </c>
      <c r="I7" s="18" t="s">
        <v>13</v>
      </c>
      <c r="J7" s="18" t="s">
        <v>14</v>
      </c>
      <c r="K7" s="6"/>
      <c r="L7" s="6"/>
    </row>
    <row r="8" spans="1:12" ht="46.8" x14ac:dyDescent="0.3">
      <c r="A8" s="19" t="s">
        <v>15</v>
      </c>
      <c r="B8" s="20" t="s">
        <v>16</v>
      </c>
      <c r="C8" s="21">
        <v>93.667000000000002</v>
      </c>
      <c r="D8" s="22" t="s">
        <v>17</v>
      </c>
      <c r="E8" s="22" t="s">
        <v>18</v>
      </c>
      <c r="F8" s="21"/>
      <c r="G8" s="23"/>
      <c r="H8" s="23">
        <f>5822-254.42</f>
        <v>5567.58</v>
      </c>
      <c r="I8" s="23">
        <f>5822*0.0437</f>
        <v>254.42140000000001</v>
      </c>
      <c r="J8" s="23">
        <f>SUM(H8:I8)</f>
        <v>5822.0014000000001</v>
      </c>
      <c r="K8" s="24"/>
      <c r="L8" s="24"/>
    </row>
    <row r="9" spans="1:12" ht="31.2" x14ac:dyDescent="0.3">
      <c r="A9" s="25" t="s">
        <v>19</v>
      </c>
      <c r="B9" s="20" t="s">
        <v>16</v>
      </c>
      <c r="C9" s="21">
        <v>93.667000000000002</v>
      </c>
      <c r="D9" s="22" t="s">
        <v>17</v>
      </c>
      <c r="E9" s="22" t="s">
        <v>18</v>
      </c>
      <c r="F9" s="21"/>
      <c r="G9" s="23"/>
      <c r="H9" s="26">
        <f>232101-10142.81</f>
        <v>221958.19</v>
      </c>
      <c r="I9" s="23">
        <f>232101*0.0437</f>
        <v>10142.813700000001</v>
      </c>
      <c r="J9" s="23">
        <f t="shared" ref="J9:J16" si="0">SUM(H9:I9)</f>
        <v>232101.0037</v>
      </c>
      <c r="K9" s="27"/>
      <c r="L9" s="28"/>
    </row>
    <row r="10" spans="1:12" ht="31.2" x14ac:dyDescent="0.3">
      <c r="A10" s="29" t="s">
        <v>20</v>
      </c>
      <c r="B10" s="20" t="s">
        <v>16</v>
      </c>
      <c r="C10" s="21">
        <v>93.667000000000002</v>
      </c>
      <c r="D10" s="30" t="s">
        <v>21</v>
      </c>
      <c r="E10" s="22" t="s">
        <v>18</v>
      </c>
      <c r="F10" s="31"/>
      <c r="G10" s="32"/>
      <c r="H10" s="32">
        <f>606803-26517.29</f>
        <v>580285.71</v>
      </c>
      <c r="I10" s="32">
        <f>606803*0.0437</f>
        <v>26517.291100000002</v>
      </c>
      <c r="J10" s="23">
        <f t="shared" si="0"/>
        <v>606803.00109999999</v>
      </c>
      <c r="K10" s="33"/>
      <c r="L10" s="34"/>
    </row>
    <row r="11" spans="1:12" ht="31.2" x14ac:dyDescent="0.3">
      <c r="A11" s="19" t="s">
        <v>22</v>
      </c>
      <c r="B11" s="20" t="s">
        <v>16</v>
      </c>
      <c r="C11" s="21">
        <v>93.667000000000002</v>
      </c>
      <c r="D11" s="22" t="s">
        <v>23</v>
      </c>
      <c r="E11" s="22" t="s">
        <v>18</v>
      </c>
      <c r="F11" s="21"/>
      <c r="G11" s="23"/>
      <c r="H11" s="23">
        <f>151745-6631.26</f>
        <v>145113.74</v>
      </c>
      <c r="I11" s="23">
        <f>151745*0.0437</f>
        <v>6631.2565000000004</v>
      </c>
      <c r="J11" s="23">
        <f t="shared" si="0"/>
        <v>151744.99649999998</v>
      </c>
      <c r="K11" s="33"/>
      <c r="L11" s="6"/>
    </row>
    <row r="12" spans="1:12" ht="31.2" x14ac:dyDescent="0.3">
      <c r="A12" s="35" t="s">
        <v>24</v>
      </c>
      <c r="B12" s="20" t="s">
        <v>16</v>
      </c>
      <c r="C12" s="21">
        <v>93.667000000000002</v>
      </c>
      <c r="D12" s="36" t="s">
        <v>25</v>
      </c>
      <c r="E12" s="22" t="s">
        <v>18</v>
      </c>
      <c r="F12" s="31"/>
      <c r="G12" s="32"/>
      <c r="H12" s="32">
        <f>55279-2415.69</f>
        <v>52863.31</v>
      </c>
      <c r="I12" s="32">
        <f>55279*0.0437</f>
        <v>2415.6923000000002</v>
      </c>
      <c r="J12" s="23">
        <f t="shared" si="0"/>
        <v>55279.0023</v>
      </c>
      <c r="K12" s="33"/>
      <c r="L12" s="6"/>
    </row>
    <row r="13" spans="1:12" ht="78" x14ac:dyDescent="0.3">
      <c r="A13" s="37" t="s">
        <v>26</v>
      </c>
      <c r="B13" s="20" t="s">
        <v>16</v>
      </c>
      <c r="C13" s="21">
        <v>93.667000000000002</v>
      </c>
      <c r="D13" s="36" t="s">
        <v>25</v>
      </c>
      <c r="E13" s="22" t="s">
        <v>18</v>
      </c>
      <c r="F13" s="20"/>
      <c r="G13" s="38"/>
      <c r="H13" s="33">
        <f>151813-6634.23</f>
        <v>145178.76999999999</v>
      </c>
      <c r="I13" s="38">
        <f>151813*0.0437</f>
        <v>6634.2281000000003</v>
      </c>
      <c r="J13" s="23">
        <f t="shared" si="0"/>
        <v>151812.9981</v>
      </c>
      <c r="K13" s="33"/>
      <c r="L13" s="6"/>
    </row>
    <row r="14" spans="1:12" ht="31.2" x14ac:dyDescent="0.3">
      <c r="A14" s="39" t="s">
        <v>27</v>
      </c>
      <c r="B14" s="20" t="s">
        <v>16</v>
      </c>
      <c r="C14" s="21">
        <v>93.667000000000002</v>
      </c>
      <c r="D14" s="36" t="s">
        <v>25</v>
      </c>
      <c r="E14" s="22" t="s">
        <v>18</v>
      </c>
      <c r="F14" s="20"/>
      <c r="G14" s="38"/>
      <c r="H14" s="38">
        <f>175000-7647.5</f>
        <v>167352.5</v>
      </c>
      <c r="I14" s="38">
        <f>175000*0.0437</f>
        <v>7647.5000000000009</v>
      </c>
      <c r="J14" s="23">
        <f t="shared" si="0"/>
        <v>175000</v>
      </c>
      <c r="K14" s="33"/>
      <c r="L14" s="6"/>
    </row>
    <row r="15" spans="1:12" ht="46.8" x14ac:dyDescent="0.3">
      <c r="A15" s="19" t="s">
        <v>28</v>
      </c>
      <c r="B15" s="20" t="s">
        <v>16</v>
      </c>
      <c r="C15" s="21">
        <v>93.667000000000002</v>
      </c>
      <c r="D15" s="36" t="s">
        <v>25</v>
      </c>
      <c r="E15" s="22" t="s">
        <v>18</v>
      </c>
      <c r="F15" s="21"/>
      <c r="G15" s="23"/>
      <c r="H15" s="23">
        <f>53314-2329.82</f>
        <v>50984.18</v>
      </c>
      <c r="I15" s="23">
        <f>53314*0.0437</f>
        <v>2329.8218000000002</v>
      </c>
      <c r="J15" s="23">
        <f t="shared" si="0"/>
        <v>53314.001799999998</v>
      </c>
      <c r="K15" s="40"/>
      <c r="L15" s="6"/>
    </row>
    <row r="16" spans="1:12" ht="46.8" x14ac:dyDescent="0.3">
      <c r="A16" s="39" t="s">
        <v>29</v>
      </c>
      <c r="B16" s="20" t="s">
        <v>16</v>
      </c>
      <c r="C16" s="21">
        <v>93.667000000000002</v>
      </c>
      <c r="D16" s="36" t="s">
        <v>25</v>
      </c>
      <c r="E16" s="22" t="s">
        <v>18</v>
      </c>
      <c r="F16" s="21"/>
      <c r="G16" s="23"/>
      <c r="H16" s="23">
        <f>71163-3109.82</f>
        <v>68053.179999999993</v>
      </c>
      <c r="I16" s="23">
        <f>71163*0.0437</f>
        <v>3109.8231000000001</v>
      </c>
      <c r="J16" s="23">
        <f t="shared" si="0"/>
        <v>71163.003099999987</v>
      </c>
      <c r="K16" s="40"/>
      <c r="L16" s="6"/>
    </row>
    <row r="17" spans="1:12" ht="15.6" x14ac:dyDescent="0.3">
      <c r="A17" s="20"/>
      <c r="B17" s="20"/>
      <c r="C17" s="20"/>
      <c r="D17" s="41"/>
      <c r="E17" s="41"/>
      <c r="F17" s="20"/>
      <c r="G17" s="42"/>
      <c r="H17" s="43">
        <f>1503040-65682.85</f>
        <v>1437357.15</v>
      </c>
      <c r="I17" s="43">
        <f>SUM(I8:I16)</f>
        <v>65682.847999999998</v>
      </c>
      <c r="J17" s="23">
        <v>1503040</v>
      </c>
      <c r="K17" s="44"/>
      <c r="L17" s="28"/>
    </row>
    <row r="18" spans="1:12" ht="31.2" x14ac:dyDescent="0.3">
      <c r="A18" s="20" t="s">
        <v>11</v>
      </c>
      <c r="B18" s="20" t="s">
        <v>16</v>
      </c>
      <c r="C18" s="20">
        <v>93.667000000000002</v>
      </c>
      <c r="D18" s="41" t="s">
        <v>17</v>
      </c>
      <c r="E18" s="22" t="s">
        <v>18</v>
      </c>
      <c r="F18" s="20">
        <v>28</v>
      </c>
      <c r="G18" s="42">
        <v>1029089.15</v>
      </c>
      <c r="H18" s="45"/>
      <c r="I18" s="45"/>
      <c r="J18" s="45"/>
      <c r="K18" s="44"/>
      <c r="L18" s="28"/>
    </row>
    <row r="19" spans="1:12" ht="15.6" x14ac:dyDescent="0.3">
      <c r="A19" s="46"/>
      <c r="B19" s="46"/>
      <c r="C19" s="46"/>
      <c r="D19" s="47"/>
      <c r="E19" s="47"/>
      <c r="F19" s="46"/>
      <c r="G19" s="48"/>
      <c r="H19" s="49"/>
      <c r="I19" s="49"/>
      <c r="J19" s="49"/>
      <c r="K19" s="44"/>
      <c r="L19" s="28"/>
    </row>
    <row r="20" spans="1:12" ht="15.6" x14ac:dyDescent="0.3">
      <c r="A20" s="46"/>
      <c r="B20" s="46"/>
      <c r="C20" s="46"/>
      <c r="D20" s="47"/>
      <c r="E20" s="47"/>
      <c r="F20" s="46"/>
      <c r="G20" s="48"/>
      <c r="H20" s="49"/>
      <c r="I20" s="49"/>
      <c r="J20" s="49"/>
      <c r="K20" s="44"/>
      <c r="L20" s="28"/>
    </row>
    <row r="21" spans="1:12" ht="15.6" x14ac:dyDescent="0.3">
      <c r="A21" s="50"/>
      <c r="B21" s="6"/>
      <c r="C21" s="40"/>
      <c r="D21" s="51"/>
      <c r="E21" s="51"/>
      <c r="F21" s="40"/>
      <c r="G21" s="49"/>
      <c r="H21" s="49"/>
      <c r="I21" s="49"/>
      <c r="J21" s="49"/>
      <c r="K21" s="44"/>
      <c r="L21" s="28"/>
    </row>
    <row r="22" spans="1:12" ht="15.6" x14ac:dyDescent="0.3">
      <c r="A22" s="52" t="s">
        <v>30</v>
      </c>
      <c r="B22" s="53"/>
      <c r="C22" s="53"/>
      <c r="D22" s="53"/>
      <c r="E22" s="53"/>
      <c r="F22" s="53"/>
      <c r="G22" s="53"/>
      <c r="H22" s="53"/>
      <c r="I22" s="54"/>
      <c r="J22" s="55">
        <f>SUM(J24:J28)</f>
        <v>257834.76</v>
      </c>
      <c r="K22" s="40"/>
      <c r="L22" s="6"/>
    </row>
    <row r="23" spans="1:12" ht="31.2" x14ac:dyDescent="0.3">
      <c r="A23" s="18" t="s">
        <v>5</v>
      </c>
      <c r="B23" s="18" t="s">
        <v>6</v>
      </c>
      <c r="C23" s="18" t="s">
        <v>7</v>
      </c>
      <c r="D23" s="18" t="s">
        <v>8</v>
      </c>
      <c r="E23" s="18" t="s">
        <v>9</v>
      </c>
      <c r="F23" s="18" t="s">
        <v>31</v>
      </c>
      <c r="G23" s="18" t="s">
        <v>11</v>
      </c>
      <c r="H23" s="18" t="s">
        <v>12</v>
      </c>
      <c r="I23" s="18" t="s">
        <v>13</v>
      </c>
      <c r="J23" s="56" t="s">
        <v>32</v>
      </c>
      <c r="K23" s="57"/>
      <c r="L23" s="6"/>
    </row>
    <row r="24" spans="1:12" ht="31.2" x14ac:dyDescent="0.3">
      <c r="A24" s="39" t="s">
        <v>27</v>
      </c>
      <c r="B24" s="20" t="s">
        <v>33</v>
      </c>
      <c r="C24" s="20">
        <f>_xlfn.NUMBERVALUE(93.59)</f>
        <v>93.59</v>
      </c>
      <c r="D24" s="58">
        <v>45199</v>
      </c>
      <c r="E24" s="59" t="s">
        <v>34</v>
      </c>
      <c r="F24" s="60">
        <v>3</v>
      </c>
      <c r="G24" s="43">
        <f>23929+3500+97688</f>
        <v>125117</v>
      </c>
      <c r="H24" s="43">
        <f>158670.31-125117-14788</f>
        <v>18765.309999999998</v>
      </c>
      <c r="I24" s="43">
        <v>14788</v>
      </c>
      <c r="J24" s="43">
        <f t="shared" ref="J24:J26" si="1">SUM(G24:I24)</f>
        <v>158670.31</v>
      </c>
      <c r="K24" s="61"/>
      <c r="L24" s="6"/>
    </row>
    <row r="25" spans="1:12" ht="15.6" x14ac:dyDescent="0.3">
      <c r="A25" s="19" t="s">
        <v>35</v>
      </c>
      <c r="B25" s="62" t="s">
        <v>36</v>
      </c>
      <c r="C25" s="21">
        <v>93.643000000000001</v>
      </c>
      <c r="D25" s="63">
        <v>45565</v>
      </c>
      <c r="E25" s="63" t="s">
        <v>34</v>
      </c>
      <c r="F25" s="62">
        <v>1</v>
      </c>
      <c r="G25" s="23">
        <f>1082.33+253.13+314.23+17457</f>
        <v>19106.689999999999</v>
      </c>
      <c r="H25" s="23">
        <f>35388.66-19106.69-4503</f>
        <v>11778.970000000005</v>
      </c>
      <c r="I25" s="23">
        <v>4503</v>
      </c>
      <c r="J25" s="43">
        <f t="shared" si="1"/>
        <v>35388.660000000003</v>
      </c>
      <c r="K25" s="61"/>
      <c r="L25" s="6"/>
    </row>
    <row r="26" spans="1:12" ht="31.2" x14ac:dyDescent="0.3">
      <c r="A26" s="64" t="s">
        <v>37</v>
      </c>
      <c r="B26" s="65" t="s">
        <v>38</v>
      </c>
      <c r="C26" s="21">
        <v>93.668999999999997</v>
      </c>
      <c r="D26" s="63">
        <v>45565</v>
      </c>
      <c r="E26" s="63" t="s">
        <v>39</v>
      </c>
      <c r="F26" s="62"/>
      <c r="G26" s="66">
        <f>7412.05+1467.68</f>
        <v>8879.73</v>
      </c>
      <c r="H26" s="23">
        <f>13680.16-8879.73-3235</f>
        <v>1565.4300000000003</v>
      </c>
      <c r="I26" s="23">
        <v>3235</v>
      </c>
      <c r="J26" s="43">
        <f t="shared" si="1"/>
        <v>13680.16</v>
      </c>
      <c r="K26" s="67"/>
      <c r="L26" s="68"/>
    </row>
    <row r="27" spans="1:12" ht="31.2" x14ac:dyDescent="0.3">
      <c r="A27" s="69" t="s">
        <v>40</v>
      </c>
      <c r="B27" s="65" t="s">
        <v>41</v>
      </c>
      <c r="C27" s="21">
        <v>93.643000000000001</v>
      </c>
      <c r="D27" s="63">
        <v>45199</v>
      </c>
      <c r="E27" s="63" t="s">
        <v>39</v>
      </c>
      <c r="F27" s="62"/>
      <c r="G27" s="66">
        <v>-15400.19</v>
      </c>
      <c r="H27" s="23">
        <f>764+500+619.64</f>
        <v>1883.6399999999999</v>
      </c>
      <c r="I27" s="23">
        <v>389</v>
      </c>
      <c r="J27" s="43">
        <f t="shared" ref="J27" si="2">SUM(G27:I27)</f>
        <v>-13127.550000000001</v>
      </c>
      <c r="K27" s="70"/>
      <c r="L27" s="24"/>
    </row>
    <row r="28" spans="1:12" ht="31.2" x14ac:dyDescent="0.3">
      <c r="A28" s="71" t="s">
        <v>42</v>
      </c>
      <c r="B28" s="62" t="s">
        <v>43</v>
      </c>
      <c r="C28" s="21">
        <v>93.555999999999997</v>
      </c>
      <c r="D28" s="63">
        <v>45930</v>
      </c>
      <c r="E28" s="63" t="s">
        <v>34</v>
      </c>
      <c r="F28" s="62">
        <v>2</v>
      </c>
      <c r="G28" s="23">
        <f>8014.2+19418.36</f>
        <v>27432.560000000001</v>
      </c>
      <c r="H28" s="23">
        <f>63223.18-27432.56-11958</f>
        <v>23832.619999999995</v>
      </c>
      <c r="I28" s="23">
        <v>11958</v>
      </c>
      <c r="J28" s="43">
        <f>SUM(G28:I28)</f>
        <v>63223.179999999993</v>
      </c>
      <c r="K28" s="72"/>
      <c r="L28" s="24"/>
    </row>
    <row r="29" spans="1:12" ht="15.6" x14ac:dyDescent="0.3">
      <c r="A29" s="73"/>
      <c r="B29" s="40"/>
      <c r="C29" s="40"/>
      <c r="D29" s="51"/>
      <c r="E29" s="51"/>
      <c r="F29" s="27"/>
      <c r="G29" s="49"/>
      <c r="H29" s="49"/>
      <c r="I29" s="74"/>
      <c r="J29" s="75"/>
      <c r="K29" s="61"/>
      <c r="L29" s="6"/>
    </row>
    <row r="30" spans="1:12" ht="15.6" x14ac:dyDescent="0.3">
      <c r="A30" s="52" t="s">
        <v>44</v>
      </c>
      <c r="B30" s="53"/>
      <c r="C30" s="53"/>
      <c r="D30" s="53"/>
      <c r="E30" s="53"/>
      <c r="F30" s="53"/>
      <c r="G30" s="53"/>
      <c r="H30" s="53"/>
      <c r="I30" s="54"/>
      <c r="J30" s="76">
        <f>SUM(J32:J34)</f>
        <v>26186.6</v>
      </c>
      <c r="K30" s="77"/>
      <c r="L30" s="78"/>
    </row>
    <row r="31" spans="1:12" ht="15.6" x14ac:dyDescent="0.3">
      <c r="A31" s="18" t="s">
        <v>5</v>
      </c>
      <c r="B31" s="18" t="s">
        <v>6</v>
      </c>
      <c r="C31" s="18" t="s">
        <v>7</v>
      </c>
      <c r="D31" s="18" t="s">
        <v>8</v>
      </c>
      <c r="E31" s="18" t="s">
        <v>9</v>
      </c>
      <c r="F31" s="18" t="s">
        <v>45</v>
      </c>
      <c r="G31" s="18" t="s">
        <v>11</v>
      </c>
      <c r="H31" s="18" t="s">
        <v>12</v>
      </c>
      <c r="I31" s="18" t="s">
        <v>13</v>
      </c>
      <c r="J31" s="18" t="s">
        <v>46</v>
      </c>
      <c r="K31" s="77"/>
      <c r="L31" s="78"/>
    </row>
    <row r="32" spans="1:12" ht="46.8" x14ac:dyDescent="0.3">
      <c r="A32" s="19" t="s">
        <v>47</v>
      </c>
      <c r="B32" s="60" t="s">
        <v>48</v>
      </c>
      <c r="C32" s="79" t="s">
        <v>49</v>
      </c>
      <c r="D32" s="79" t="s">
        <v>50</v>
      </c>
      <c r="E32" s="60"/>
      <c r="F32" s="79">
        <v>0</v>
      </c>
      <c r="G32" s="80">
        <v>0</v>
      </c>
      <c r="H32" s="80">
        <v>26300</v>
      </c>
      <c r="I32" s="81">
        <v>0</v>
      </c>
      <c r="J32" s="43">
        <f>SUM(G32:I32)</f>
        <v>26300</v>
      </c>
      <c r="K32" s="77"/>
      <c r="L32" s="78"/>
    </row>
    <row r="33" spans="1:12" ht="31.2" x14ac:dyDescent="0.3">
      <c r="A33" s="71" t="s">
        <v>51</v>
      </c>
      <c r="B33" s="21">
        <v>3016</v>
      </c>
      <c r="C33" s="21" t="s">
        <v>49</v>
      </c>
      <c r="D33" s="21" t="s">
        <v>50</v>
      </c>
      <c r="E33" s="60"/>
      <c r="F33" s="21">
        <v>0</v>
      </c>
      <c r="G33" s="82">
        <v>0</v>
      </c>
      <c r="H33" s="82">
        <v>0</v>
      </c>
      <c r="I33" s="83">
        <v>0</v>
      </c>
      <c r="J33" s="82">
        <v>-113.4</v>
      </c>
      <c r="K33" s="11"/>
      <c r="L33" s="78"/>
    </row>
    <row r="34" spans="1:12" ht="46.8" x14ac:dyDescent="0.3">
      <c r="A34" s="71" t="s">
        <v>52</v>
      </c>
      <c r="B34" s="21" t="s">
        <v>53</v>
      </c>
      <c r="C34" s="21" t="s">
        <v>49</v>
      </c>
      <c r="D34" s="21" t="s">
        <v>50</v>
      </c>
      <c r="E34" s="60"/>
      <c r="F34" s="21">
        <v>0</v>
      </c>
      <c r="G34" s="82">
        <v>0</v>
      </c>
      <c r="H34" s="82"/>
      <c r="I34" s="83">
        <v>0</v>
      </c>
      <c r="J34" s="82">
        <f>SUM(G34:H34:I34)</f>
        <v>0</v>
      </c>
      <c r="K34" s="11"/>
      <c r="L34" s="6"/>
    </row>
    <row r="35" spans="1:12" ht="15.6" x14ac:dyDescent="0.3">
      <c r="A35" s="6"/>
      <c r="B35" s="6"/>
      <c r="C35" s="6"/>
      <c r="D35" s="6"/>
      <c r="E35" s="6"/>
      <c r="F35" s="6"/>
      <c r="G35" s="6"/>
      <c r="H35" s="6"/>
      <c r="I35" s="6"/>
      <c r="J35" s="84"/>
      <c r="K35" s="11"/>
      <c r="L35" s="6"/>
    </row>
    <row r="36" spans="1:12" ht="15.6" x14ac:dyDescent="0.3">
      <c r="A36" s="52" t="s">
        <v>54</v>
      </c>
      <c r="B36" s="53"/>
      <c r="C36" s="53"/>
      <c r="D36" s="53"/>
      <c r="E36" s="53"/>
      <c r="F36" s="53"/>
      <c r="G36" s="53"/>
      <c r="H36" s="53"/>
      <c r="I36" s="54"/>
      <c r="J36" s="85">
        <f>SUM(J38)</f>
        <v>308164</v>
      </c>
      <c r="K36" s="11"/>
      <c r="L36" s="6"/>
    </row>
    <row r="37" spans="1:12" ht="15.6" x14ac:dyDescent="0.3">
      <c r="A37" s="18" t="s">
        <v>5</v>
      </c>
      <c r="B37" s="18" t="s">
        <v>6</v>
      </c>
      <c r="C37" s="18" t="s">
        <v>7</v>
      </c>
      <c r="D37" s="18" t="s">
        <v>8</v>
      </c>
      <c r="E37" s="18"/>
      <c r="F37" s="18" t="s">
        <v>45</v>
      </c>
      <c r="G37" s="18" t="s">
        <v>11</v>
      </c>
      <c r="H37" s="18" t="s">
        <v>12</v>
      </c>
      <c r="I37" s="18" t="s">
        <v>13</v>
      </c>
      <c r="J37" s="18" t="s">
        <v>46</v>
      </c>
      <c r="K37" s="11"/>
      <c r="L37" s="6"/>
    </row>
    <row r="38" spans="1:12" ht="15.6" x14ac:dyDescent="0.3">
      <c r="A38" s="86" t="s">
        <v>55</v>
      </c>
      <c r="B38" s="87" t="s">
        <v>56</v>
      </c>
      <c r="C38" s="87" t="s">
        <v>49</v>
      </c>
      <c r="D38" s="88"/>
      <c r="E38" s="88"/>
      <c r="F38" s="87">
        <v>11</v>
      </c>
      <c r="G38" s="89">
        <v>308164</v>
      </c>
      <c r="H38" s="89">
        <v>0</v>
      </c>
      <c r="I38" s="89"/>
      <c r="J38" s="82">
        <f>SUM(G38:H38:I38)</f>
        <v>308164</v>
      </c>
      <c r="K38" s="11"/>
      <c r="L38" s="6"/>
    </row>
    <row r="39" spans="1:12" ht="15.6" x14ac:dyDescent="0.3">
      <c r="A39" s="6"/>
      <c r="B39" s="90"/>
      <c r="C39" s="90"/>
      <c r="D39" s="91"/>
      <c r="E39" s="91"/>
      <c r="F39" s="90"/>
      <c r="G39" s="92"/>
      <c r="H39" s="92"/>
      <c r="I39" s="92"/>
      <c r="J39" s="93"/>
      <c r="K39" s="6"/>
      <c r="L39" s="6"/>
    </row>
    <row r="40" spans="1:12" ht="15.6" x14ac:dyDescent="0.3">
      <c r="A40" s="6"/>
      <c r="B40" s="90"/>
      <c r="C40" s="90"/>
      <c r="D40" s="91"/>
      <c r="E40" s="91"/>
      <c r="F40" s="90"/>
      <c r="G40" s="92"/>
      <c r="H40" s="92"/>
      <c r="I40" s="92"/>
      <c r="J40" s="93"/>
      <c r="K40" s="6"/>
      <c r="L40" s="6"/>
    </row>
    <row r="41" spans="1:12" ht="15.6" x14ac:dyDescent="0.3">
      <c r="A41" s="94" t="s">
        <v>57</v>
      </c>
      <c r="B41" s="90"/>
      <c r="C41" s="90"/>
      <c r="D41" s="91"/>
      <c r="E41" s="91"/>
      <c r="F41" s="90"/>
      <c r="G41" s="92"/>
      <c r="H41" s="92"/>
      <c r="I41" s="92"/>
      <c r="J41" s="93"/>
      <c r="K41" s="6"/>
      <c r="L41" s="6"/>
    </row>
    <row r="42" spans="1:12" ht="15.6" x14ac:dyDescent="0.3">
      <c r="A42" s="52" t="s">
        <v>58</v>
      </c>
      <c r="B42" s="53"/>
      <c r="C42" s="53"/>
      <c r="D42" s="53"/>
      <c r="E42" s="53"/>
      <c r="F42" s="53"/>
      <c r="G42" s="53"/>
      <c r="H42" s="53"/>
      <c r="I42" s="54"/>
      <c r="J42" s="85">
        <f>SUM(J44:J48)</f>
        <v>1022610.8683</v>
      </c>
      <c r="K42" s="11"/>
      <c r="L42" s="6"/>
    </row>
    <row r="43" spans="1:12" ht="15.6" x14ac:dyDescent="0.3">
      <c r="A43" s="18" t="s">
        <v>5</v>
      </c>
      <c r="B43" s="18" t="s">
        <v>6</v>
      </c>
      <c r="C43" s="18" t="s">
        <v>7</v>
      </c>
      <c r="D43" s="18" t="s">
        <v>8</v>
      </c>
      <c r="E43" s="18" t="s">
        <v>9</v>
      </c>
      <c r="F43" s="18" t="s">
        <v>45</v>
      </c>
      <c r="G43" s="18" t="s">
        <v>11</v>
      </c>
      <c r="H43" s="18" t="s">
        <v>12</v>
      </c>
      <c r="I43" s="18" t="s">
        <v>13</v>
      </c>
      <c r="J43" s="18" t="s">
        <v>46</v>
      </c>
      <c r="K43" s="72"/>
      <c r="L43" s="6"/>
    </row>
    <row r="44" spans="1:12" ht="31.2" x14ac:dyDescent="0.3">
      <c r="A44" s="95" t="s">
        <v>59</v>
      </c>
      <c r="B44" s="96" t="s">
        <v>60</v>
      </c>
      <c r="C44" s="21">
        <v>21.027000000000001</v>
      </c>
      <c r="D44" s="22" t="s">
        <v>61</v>
      </c>
      <c r="E44" s="22"/>
      <c r="F44" s="21">
        <v>0</v>
      </c>
      <c r="G44" s="82">
        <v>240497.43</v>
      </c>
      <c r="H44" s="82">
        <v>-1333.56</v>
      </c>
      <c r="I44" s="97"/>
      <c r="J44" s="82">
        <f>SUM(G44:I44)</f>
        <v>239163.87</v>
      </c>
      <c r="K44" s="98"/>
      <c r="L44" s="6"/>
    </row>
    <row r="45" spans="1:12" ht="31.2" x14ac:dyDescent="0.3">
      <c r="A45" s="71" t="s">
        <v>62</v>
      </c>
      <c r="B45" s="21">
        <v>1208220002</v>
      </c>
      <c r="C45" s="21">
        <v>93.668999999999997</v>
      </c>
      <c r="D45" s="63">
        <v>45930</v>
      </c>
      <c r="E45" s="99" t="s">
        <v>63</v>
      </c>
      <c r="F45" s="21">
        <v>0</v>
      </c>
      <c r="G45" s="23">
        <v>0</v>
      </c>
      <c r="H45" s="23">
        <f>23259-1016.42</f>
        <v>22242.58</v>
      </c>
      <c r="I45" s="100">
        <f>23259*0.0437</f>
        <v>1016.4183</v>
      </c>
      <c r="J45" s="82">
        <f>SUM(G45:I45)</f>
        <v>23258.998300000003</v>
      </c>
      <c r="K45" s="98"/>
      <c r="L45" s="28"/>
    </row>
    <row r="46" spans="1:12" ht="93.6" x14ac:dyDescent="0.3">
      <c r="A46" s="19" t="s">
        <v>64</v>
      </c>
      <c r="B46" s="62" t="s">
        <v>65</v>
      </c>
      <c r="C46" s="101">
        <v>93.59</v>
      </c>
      <c r="D46" s="22" t="s">
        <v>66</v>
      </c>
      <c r="E46" s="22" t="s">
        <v>67</v>
      </c>
      <c r="F46" s="21">
        <v>0</v>
      </c>
      <c r="G46" s="23">
        <v>0</v>
      </c>
      <c r="H46" s="82">
        <v>198000</v>
      </c>
      <c r="I46" s="97"/>
      <c r="J46" s="82">
        <f>SUM(G46:I46)</f>
        <v>198000</v>
      </c>
      <c r="K46" s="102"/>
      <c r="L46" s="103"/>
    </row>
    <row r="47" spans="1:12" ht="78" x14ac:dyDescent="0.3">
      <c r="A47" s="19" t="s">
        <v>68</v>
      </c>
      <c r="B47" s="62" t="s">
        <v>65</v>
      </c>
      <c r="C47" s="21">
        <v>93.671000000000006</v>
      </c>
      <c r="D47" s="22" t="s">
        <v>69</v>
      </c>
      <c r="E47" s="22" t="s">
        <v>70</v>
      </c>
      <c r="F47" s="21">
        <v>0</v>
      </c>
      <c r="G47" s="23">
        <v>0</v>
      </c>
      <c r="H47" s="82">
        <v>146563</v>
      </c>
      <c r="I47" s="97"/>
      <c r="J47" s="82">
        <f t="shared" ref="J47:J48" si="3">SUM(G47:I47)</f>
        <v>146563</v>
      </c>
      <c r="K47" s="102"/>
      <c r="L47" s="103"/>
    </row>
    <row r="48" spans="1:12" ht="78" x14ac:dyDescent="0.3">
      <c r="A48" s="19" t="s">
        <v>68</v>
      </c>
      <c r="B48" s="62" t="s">
        <v>65</v>
      </c>
      <c r="C48" s="21">
        <v>93.671000000000006</v>
      </c>
      <c r="D48" s="22" t="s">
        <v>69</v>
      </c>
      <c r="E48" s="22" t="s">
        <v>71</v>
      </c>
      <c r="F48" s="21">
        <v>0</v>
      </c>
      <c r="G48" s="23">
        <v>0</v>
      </c>
      <c r="H48" s="82">
        <v>415625</v>
      </c>
      <c r="I48" s="97"/>
      <c r="J48" s="82">
        <f t="shared" si="3"/>
        <v>415625</v>
      </c>
      <c r="K48" s="102"/>
      <c r="L48" s="103"/>
    </row>
    <row r="49" spans="1:12" ht="15.6" x14ac:dyDescent="0.3">
      <c r="A49" s="73"/>
      <c r="B49" s="27"/>
      <c r="C49" s="40"/>
      <c r="D49" s="51"/>
      <c r="E49" s="51"/>
      <c r="F49" s="40"/>
      <c r="G49" s="49"/>
      <c r="H49" s="49"/>
      <c r="I49" s="49"/>
      <c r="J49" s="104"/>
      <c r="K49" s="105"/>
      <c r="L49" s="28"/>
    </row>
    <row r="50" spans="1:12" ht="15.6" x14ac:dyDescent="0.3">
      <c r="A50" s="106" t="s">
        <v>72</v>
      </c>
      <c r="B50" s="6"/>
      <c r="C50" s="6"/>
      <c r="D50" s="6"/>
      <c r="E50" s="6"/>
      <c r="F50" s="6"/>
      <c r="G50" s="6"/>
      <c r="H50" s="6"/>
      <c r="I50" s="6"/>
      <c r="J50" s="107"/>
      <c r="K50" s="11"/>
      <c r="L50" s="6"/>
    </row>
    <row r="51" spans="1:12" ht="15.6" x14ac:dyDescent="0.3">
      <c r="A51" s="108"/>
      <c r="B51" s="109"/>
      <c r="C51" s="109"/>
      <c r="D51" s="109"/>
      <c r="E51" s="109"/>
      <c r="F51" s="109"/>
      <c r="G51" s="109"/>
      <c r="H51" s="109"/>
      <c r="I51" s="110"/>
      <c r="J51" s="55">
        <f>SUM(J53:J60)</f>
        <v>190690.64</v>
      </c>
      <c r="K51" s="10">
        <f>SUM(K53:K60)</f>
        <v>73574.84</v>
      </c>
      <c r="L51" s="6"/>
    </row>
    <row r="52" spans="1:12" ht="46.8" x14ac:dyDescent="0.3">
      <c r="A52" s="111" t="s">
        <v>5</v>
      </c>
      <c r="B52" s="111" t="s">
        <v>6</v>
      </c>
      <c r="C52" s="111" t="s">
        <v>7</v>
      </c>
      <c r="D52" s="111" t="s">
        <v>8</v>
      </c>
      <c r="E52" s="111" t="s">
        <v>9</v>
      </c>
      <c r="F52" s="111" t="s">
        <v>31</v>
      </c>
      <c r="G52" s="111" t="s">
        <v>11</v>
      </c>
      <c r="H52" s="111" t="s">
        <v>12</v>
      </c>
      <c r="I52" s="111" t="s">
        <v>13</v>
      </c>
      <c r="J52" s="112" t="s">
        <v>32</v>
      </c>
      <c r="K52" s="56" t="s">
        <v>73</v>
      </c>
      <c r="L52" s="6"/>
    </row>
    <row r="53" spans="1:12" ht="31.2" x14ac:dyDescent="0.3">
      <c r="A53" s="113" t="s">
        <v>74</v>
      </c>
      <c r="B53" s="62" t="s">
        <v>75</v>
      </c>
      <c r="C53" s="21">
        <v>16.574999999999999</v>
      </c>
      <c r="D53" s="22" t="s">
        <v>76</v>
      </c>
      <c r="E53" s="21" t="s">
        <v>77</v>
      </c>
      <c r="F53" s="23"/>
      <c r="G53" s="86"/>
      <c r="H53" s="23">
        <v>50000</v>
      </c>
      <c r="I53" s="82"/>
      <c r="J53" s="82">
        <f>SUM(H53:I53)</f>
        <v>50000</v>
      </c>
      <c r="K53" s="114">
        <v>31818</v>
      </c>
      <c r="L53" s="115"/>
    </row>
    <row r="54" spans="1:12" ht="31.2" x14ac:dyDescent="0.3">
      <c r="A54" s="113" t="s">
        <v>74</v>
      </c>
      <c r="B54" s="60" t="s">
        <v>78</v>
      </c>
      <c r="C54" s="21">
        <v>16.574999999999999</v>
      </c>
      <c r="D54" s="116" t="s">
        <v>79</v>
      </c>
      <c r="E54" s="79" t="s">
        <v>80</v>
      </c>
      <c r="F54" s="43"/>
      <c r="G54" s="86"/>
      <c r="H54" s="43">
        <v>18582.7</v>
      </c>
      <c r="I54" s="82"/>
      <c r="J54" s="82">
        <v>18582.7</v>
      </c>
      <c r="K54" s="114">
        <v>1060.7</v>
      </c>
      <c r="L54" s="115"/>
    </row>
    <row r="55" spans="1:12" ht="31.2" x14ac:dyDescent="0.3">
      <c r="A55" s="113" t="s">
        <v>74</v>
      </c>
      <c r="B55" s="117" t="s">
        <v>81</v>
      </c>
      <c r="C55" s="21">
        <v>16.574999999999999</v>
      </c>
      <c r="D55" s="118" t="s">
        <v>82</v>
      </c>
      <c r="E55" s="79" t="s">
        <v>83</v>
      </c>
      <c r="F55" s="119"/>
      <c r="G55" s="86"/>
      <c r="H55" s="119">
        <v>53018</v>
      </c>
      <c r="I55" s="82"/>
      <c r="J55" s="82">
        <f t="shared" ref="J55:J59" si="4">SUM(H55:I55)</f>
        <v>53018</v>
      </c>
      <c r="K55" s="114">
        <v>4194</v>
      </c>
      <c r="L55" s="120"/>
    </row>
    <row r="56" spans="1:12" ht="31.2" x14ac:dyDescent="0.3">
      <c r="A56" s="113" t="s">
        <v>84</v>
      </c>
      <c r="B56" s="21" t="s">
        <v>85</v>
      </c>
      <c r="C56" s="121">
        <v>16.738</v>
      </c>
      <c r="D56" s="41" t="s">
        <v>86</v>
      </c>
      <c r="E56" s="41" t="s">
        <v>87</v>
      </c>
      <c r="F56" s="122"/>
      <c r="G56" s="123"/>
      <c r="H56" s="124">
        <v>10000</v>
      </c>
      <c r="I56" s="82"/>
      <c r="J56" s="82">
        <f t="shared" si="4"/>
        <v>10000</v>
      </c>
      <c r="K56" s="125">
        <v>10000</v>
      </c>
      <c r="L56" s="6"/>
    </row>
    <row r="57" spans="1:12" ht="31.2" x14ac:dyDescent="0.3">
      <c r="A57" s="113" t="s">
        <v>88</v>
      </c>
      <c r="B57" s="62" t="s">
        <v>89</v>
      </c>
      <c r="C57" s="121">
        <v>16.738</v>
      </c>
      <c r="D57" s="41" t="s">
        <v>90</v>
      </c>
      <c r="E57" s="21" t="s">
        <v>91</v>
      </c>
      <c r="F57" s="126"/>
      <c r="G57" s="123"/>
      <c r="H57" s="124">
        <v>14977.05</v>
      </c>
      <c r="I57" s="124">
        <v>1522.95</v>
      </c>
      <c r="J57" s="127">
        <f t="shared" si="4"/>
        <v>16500</v>
      </c>
      <c r="K57" s="125">
        <v>3069.7</v>
      </c>
      <c r="L57" s="128"/>
    </row>
    <row r="58" spans="1:12" ht="31.2" x14ac:dyDescent="0.3">
      <c r="A58" s="113" t="s">
        <v>92</v>
      </c>
      <c r="B58" s="129" t="s">
        <v>93</v>
      </c>
      <c r="C58" s="87">
        <v>16.738</v>
      </c>
      <c r="D58" s="41" t="s">
        <v>94</v>
      </c>
      <c r="E58" s="21" t="s">
        <v>95</v>
      </c>
      <c r="F58" s="126"/>
      <c r="G58" s="86"/>
      <c r="H58" s="126">
        <v>21106.82</v>
      </c>
      <c r="I58" s="124">
        <v>2146.2600000000002</v>
      </c>
      <c r="J58" s="82">
        <f t="shared" si="4"/>
        <v>23253.08</v>
      </c>
      <c r="K58" s="125">
        <v>12978.45</v>
      </c>
      <c r="L58" s="26"/>
    </row>
    <row r="59" spans="1:12" ht="31.2" x14ac:dyDescent="0.3">
      <c r="A59" s="113" t="s">
        <v>96</v>
      </c>
      <c r="B59" s="60" t="s">
        <v>97</v>
      </c>
      <c r="C59" s="87">
        <v>16.738</v>
      </c>
      <c r="D59" s="118" t="s">
        <v>98</v>
      </c>
      <c r="E59" s="79" t="s">
        <v>87</v>
      </c>
      <c r="F59" s="86"/>
      <c r="G59" s="86"/>
      <c r="H59" s="119">
        <v>9525</v>
      </c>
      <c r="I59" s="82"/>
      <c r="J59" s="82">
        <f t="shared" si="4"/>
        <v>9525</v>
      </c>
      <c r="K59" s="125">
        <v>9525</v>
      </c>
      <c r="L59" s="26"/>
    </row>
    <row r="60" spans="1:12" ht="31.2" x14ac:dyDescent="0.3">
      <c r="A60" s="113" t="s">
        <v>99</v>
      </c>
      <c r="B60" s="117" t="s">
        <v>100</v>
      </c>
      <c r="C60" s="79">
        <v>16.738</v>
      </c>
      <c r="D60" s="116" t="s">
        <v>101</v>
      </c>
      <c r="E60" s="79" t="s">
        <v>95</v>
      </c>
      <c r="F60" s="119"/>
      <c r="G60" s="123"/>
      <c r="H60" s="119">
        <v>8906.23</v>
      </c>
      <c r="I60" s="82">
        <v>905.63</v>
      </c>
      <c r="J60" s="82">
        <f>SUM(H60:I60)</f>
        <v>9811.8599999999988</v>
      </c>
      <c r="K60" s="130">
        <v>928.99</v>
      </c>
      <c r="L60" s="6"/>
    </row>
  </sheetData>
  <mergeCells count="6">
    <mergeCell ref="C1:G1"/>
    <mergeCell ref="D2:F2"/>
    <mergeCell ref="A6:I6"/>
    <mergeCell ref="K26:L26"/>
    <mergeCell ref="K30:K32"/>
    <mergeCell ref="L30:L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2023-05-05T05:30:21Z</dcterms:created>
  <dcterms:modified xsi:type="dcterms:W3CDTF">2023-05-05T05:34:24Z</dcterms:modified>
</cp:coreProperties>
</file>